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<sst xmlns="http://schemas.openxmlformats.org/spreadsheetml/2006/main" count="270" uniqueCount="240">
  <si>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</si>
  <si>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</si>
  <si>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</si>
  <si>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</si>
  <si>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</si>
  <si>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</si>
  <si>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</si>
  <si>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</si>
  <si>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</si>
  <si>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</si>
  <si>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</si>
  <si>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</si>
  <si>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</si>
  <si>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</si>
  <si>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</si>
  <si>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</si>
  <si>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</si>
  <si>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</si>
  <si>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</si>
  <si>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</si>
  <si>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</si>
  <si>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</si>
  <si>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</si>
  <si>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</si>
  <si>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</si>
  <si>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</si>
  <si>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</si>
  <si>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</si>
  <si>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</si>
  <si>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</si>
  <si>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</si>
  <si>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</si>
  <si>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</si>
  <si>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</si>
  <si>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</si>
  <si>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</si>
  <si>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</si>
  <si>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</si>
  <si>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</si>
  <si>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</si>
  <si>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</si>
  <si>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</si>
  <si>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</si>
  <si>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</si>
  <si>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</si>
  <si>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</si>
  <si>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</si>
  <si>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</si>
  <si>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</si>
  <si>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</si>
  <si>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</si>
  <si>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</si>
  <si>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</si>
  <si>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</si>
  <si>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</si>
  <si>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</si>
  <si>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</si>
  <si>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</si>
  <si>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</si>
  <si>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</si>
  <si>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</si>
  <si>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</si>
  <si>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</si>
  <si>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</si>
  <si>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</si>
  <si>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</si>
  <si>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</si>
  <si>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</si>
  <si>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</si>
  <si>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</si>
  <si>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</si>
  <si>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</si>
  <si>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</si>
  <si>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</si>
  <si>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</si>
  <si>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</si>
  <si>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</si>
  <si>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</si>
  <si>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</si>
  <si>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</si>
  <si>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</si>
  <si>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</si>
  <si>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</si>
  <si>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</si>
  <si>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</si>
  <si>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</si>
  <si>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</si>
  <si>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</si>
  <si>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</si>
  <si>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</si>
  <si>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</si>
  <si>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</si>
  <si>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</si>
  <si>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</si>
  <si>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</si>
  <si>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</si>
  <si>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</si>
  <si>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</si>
  <si>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</si>
  <si>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</si>
  <si>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</si>
  <si>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</si>
  <si>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</si>
  <si>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</si>
  <si>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</si>
  <si>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</si>
  <si>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</si>
  <si>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</si>
  <si>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</si>
  <si>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</si>
  <si>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</si>
  <si>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</si>
  <si>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</si>
  <si>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</si>
  <si>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</si>
  <si>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</si>
  <si>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</si>
  <si>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</si>
  <si>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</si>
  <si>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</si>
  <si>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</si>
  <si>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</si>
  <si>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</si>
  <si>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</si>
  <si>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</si>
  <si>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</si>
  <si>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</si>
  <si>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</si>
  <si>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</si>
  <si>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</si>
  <si>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</si>
  <si>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</si>
  <si>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</si>
  <si>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</si>
  <si>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</si>
  <si>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</si>
  <si>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</si>
  <si>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</si>
  <si>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</si>
  <si>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</si>
  <si>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</si>
  <si>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</si>
  <si>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</si>
  <si>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</si>
  <si>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</si>
  <si>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</si>
  <si>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</si>
  <si>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</si>
  <si>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</si>
  <si>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</si>
  <si>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</si>
  <si>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</si>
  <si>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</si>
  <si>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</si>
  <si>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</si>
  <si>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</si>
  <si>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</si>
  <si>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</si>
  <si>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</si>
  <si>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</si>
  <si>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</si>
  <si>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</si>
  <si>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</si>
  <si>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</si>
  <si>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</si>
  <si>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</si>
  <si>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</si>
  <si>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</si>
  <si>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</si>
  <si>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</si>
  <si>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</si>
  <si>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</si>
  <si>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</si>
  <si>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</si>
  <si>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</si>
  <si>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</si>
  <si>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</si>
  <si>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</si>
  <si>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</si>
  <si>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</si>
  <si>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</si>
  <si>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</si>
  <si>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</si>
  <si>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</si>
  <si>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</si>
  <si>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</si>
  <si>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</si>
  <si>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</si>
  <si>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</si>
  <si>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</si>
  <si>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</si>
  <si>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</si>
  <si>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</si>
  <si>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</si>
  <si>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</si>
  <si>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</si>
  <si>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</si>
  <si>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</si>
  <si>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</si>
  <si>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</si>
  <si>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</si>
  <si>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</si>
  <si>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</si>
  <si>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</si>
  <si>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</si>
  <si>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</si>
  <si>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</si>
  <si>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</si>
  <si>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</si>
  <si>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</si>
  <si>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</si>
  <si>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</si>
  <si>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</si>
  <si>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</si>
  <si>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</si>
  <si>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</si>
  <si>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</si>
  <si>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</si>
  <si>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</si>
  <si>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</si>
  <si>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</si>
  <si>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</si>
  <si>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</si>
  <si>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</si>
  <si>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</si>
  <si>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</si>
  <si>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</si>
  <si>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</si>
  <si>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</si>
  <si>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</si>
  <si>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</si>
  <si>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</si>
  <si>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</si>
  <si>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</si>
  <si>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</si>
  <si>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</si>
  <si>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</si>
  <si>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14.06.2017</t>
  </si>
  <si>
    <t>придбання  контейнерів для збору ТПВ</t>
  </si>
  <si>
    <t xml:space="preserve"> в т.ч. оплата водопостачання і водовідведення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</si>
</sst>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4" fontId="39" fillId="0" borderId="13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1"/>
  <sheetViews>
    <sheetView tabSelected="1" zoomScale="75" zoomScaleNormal="75" zoomScalePageLayoutView="0" workbookViewId="0" topLeftCell="D1">
      <selection activeCell="AE105" sqref="AE105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14" t="s">
        <v>192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</row>
    <row r="5" spans="1:35" ht="20.25" customHeight="1">
      <c r="A5" s="290" t="s">
        <v>111</v>
      </c>
      <c r="B5" s="7"/>
      <c r="C5" s="291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3" t="s">
        <v>43</v>
      </c>
      <c r="K5" s="293" t="s">
        <v>44</v>
      </c>
      <c r="L5" s="293" t="s">
        <v>45</v>
      </c>
      <c r="M5" s="293" t="s">
        <v>46</v>
      </c>
      <c r="N5" s="319" t="s">
        <v>47</v>
      </c>
      <c r="O5" s="320"/>
      <c r="P5" s="321"/>
      <c r="Q5" s="295" t="s">
        <v>48</v>
      </c>
      <c r="R5" s="295" t="s">
        <v>49</v>
      </c>
      <c r="S5" s="297" t="s">
        <v>50</v>
      </c>
      <c r="T5" s="298"/>
      <c r="U5" s="10"/>
      <c r="V5" s="299" t="s">
        <v>51</v>
      </c>
      <c r="W5" s="299" t="s">
        <v>52</v>
      </c>
      <c r="X5" s="299" t="s">
        <v>53</v>
      </c>
      <c r="Y5" s="302" t="s">
        <v>54</v>
      </c>
      <c r="Z5" s="304" t="s">
        <v>55</v>
      </c>
      <c r="AA5" s="285" t="s">
        <v>56</v>
      </c>
      <c r="AB5" s="285" t="s">
        <v>57</v>
      </c>
      <c r="AC5" s="310" t="s">
        <v>58</v>
      </c>
      <c r="AD5" s="167"/>
      <c r="AI5" s="11" t="s">
        <v>59</v>
      </c>
    </row>
    <row r="6" spans="1:35" ht="19.5">
      <c r="A6" s="290"/>
      <c r="B6" s="293" t="s">
        <v>60</v>
      </c>
      <c r="C6" s="292"/>
      <c r="D6" s="293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4"/>
      <c r="K6" s="294"/>
      <c r="L6" s="294"/>
      <c r="M6" s="294"/>
      <c r="N6" s="322"/>
      <c r="O6" s="323"/>
      <c r="P6" s="324"/>
      <c r="Q6" s="296"/>
      <c r="R6" s="296"/>
      <c r="S6" s="288" t="s">
        <v>97</v>
      </c>
      <c r="T6" s="289"/>
      <c r="U6" s="14"/>
      <c r="V6" s="300"/>
      <c r="W6" s="300"/>
      <c r="X6" s="300"/>
      <c r="Y6" s="303"/>
      <c r="Z6" s="305"/>
      <c r="AA6" s="286"/>
      <c r="AB6" s="286"/>
      <c r="AC6" s="284"/>
      <c r="AD6" s="317" t="s">
        <v>98</v>
      </c>
      <c r="AE6" s="315" t="s">
        <v>48</v>
      </c>
      <c r="AF6" s="315" t="s">
        <v>49</v>
      </c>
      <c r="AG6" s="185" t="s">
        <v>50</v>
      </c>
      <c r="AH6" s="299" t="s">
        <v>237</v>
      </c>
      <c r="AI6" s="313" t="s">
        <v>41</v>
      </c>
    </row>
    <row r="7" spans="1:35" ht="36.75" customHeight="1">
      <c r="A7" s="15">
        <v>1</v>
      </c>
      <c r="B7" s="294"/>
      <c r="C7" s="164">
        <v>1</v>
      </c>
      <c r="D7" s="294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18"/>
      <c r="AE7" s="316"/>
      <c r="AF7" s="316"/>
      <c r="AG7" s="184" t="s">
        <v>97</v>
      </c>
      <c r="AH7" s="300"/>
      <c r="AI7" s="313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1580418.48</v>
      </c>
      <c r="AI8" s="33">
        <f>AH8/AF8*100</f>
        <v>12.344212995326844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200937.6+366000+257196+363000+10861</f>
        <v>1197994.6</v>
      </c>
      <c r="AI9" s="81">
        <f>AH9/AF9*100</f>
        <v>40.88718771331059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7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7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7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7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7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7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7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7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162328.1</v>
      </c>
      <c r="AI47" s="33">
        <f t="shared" si="2"/>
        <v>2.387177941176471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f>119777.42+42550.68</f>
        <v>162328.1</v>
      </c>
      <c r="AI48" s="81">
        <f t="shared" si="2"/>
        <v>2.387177941176471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M50+M57+M65+M69+#REF!+M75+M76+M80+M82+M86+M93+M56+M96+M97+M98+M99+M100+M101+#REF!+#REF!+M110</f>
        <v>#REF!</v>
      </c>
      <c r="N49" s="31" t="e">
        <f>N50+N57+N65+N69+#REF!+N75+N76+N80+N82+N86+N93+N56+N96+N97+N98+N99+N100+N101+#REF!+#REF!+N110</f>
        <v>#VALUE!</v>
      </c>
      <c r="O49" s="31" t="e">
        <f>O50+O57+O65+O69+#REF!+O75+O76+O80+O82+O86+O93+O56+O96+O97+O98+O99+O100+O101+#REF!+#REF!+O110</f>
        <v>#REF!</v>
      </c>
      <c r="P49" s="30" t="e">
        <f>P50+P57+P65+P69+P74+P80+P82+P90+P93+P96+P97+P98+P99+P100+P101+P110</f>
        <v>#REF!</v>
      </c>
      <c r="Q49" s="31" t="e">
        <f>Q50+Q57+Q65+Q69+#REF!+Q75+Q76+Q80+Q82+Q86+Q93+Q56+Q96+Q97+Q98+Q99+Q100+Q101+#REF!+#REF!+Q110</f>
        <v>#REF!</v>
      </c>
      <c r="R49" s="31" t="e">
        <f>R50+R57+R65+R69+#REF!+R75+R76+R80+R82+R86+R93+R56+R96+R97+R98+R99+R100+R101+#REF!+#REF!+R110</f>
        <v>#REF!</v>
      </c>
      <c r="S49" s="31" t="e">
        <f>S50+S57+S65+S69+#REF!+S75+S76+S80+S82+S86+S93+S56+S96+S97+S98+S99+S100+S101+#REF!+#REF!+S110</f>
        <v>#REF!</v>
      </c>
      <c r="T49" s="31" t="e">
        <f>T50+T57+T65+T69+#REF!+T75+T76+T80+T82+T86+T93+T56+T96+T97+T98+T99+T100+T101+#REF!+#REF!+T110</f>
        <v>#REF!</v>
      </c>
      <c r="U49" s="31" t="e">
        <f>U50+U57+U65+U69+#REF!+U75+U76+U80+U82+U86+U93+U56+U96+U97+U98+U99+U100+U101+#REF!+#REF!+U110</f>
        <v>#REF!</v>
      </c>
      <c r="V49" s="31" t="e">
        <f>V50+V57+V65+V69+#REF!+V75+V76+V80+V82+V86+V93+V56+V96+V97+V98+V99+V100+V101+#REF!+#REF!+V110</f>
        <v>#REF!</v>
      </c>
      <c r="W49" s="32" t="e">
        <f>W53+W69+#REF!+W83</f>
        <v>#REF!</v>
      </c>
      <c r="X49" s="31" t="e">
        <f>X50+X57+X65+X69+#REF!+X86+X56+X75+X93+X96+X76+X98+X80+X99+X101+X97+X100+X82</f>
        <v>#REF!</v>
      </c>
      <c r="Y49" s="33" t="e">
        <f>X49/P49*100</f>
        <v>#REF!</v>
      </c>
      <c r="Z49" s="30" t="e">
        <f>Z50+Z57+Z65+Z69+Z74+Z80+Z82+Z90+Z93+Z96+Z97+Z98+Z99+Z100+Z101+Z111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60111619.122149006</v>
      </c>
      <c r="AE49" s="30">
        <f>AE50+AE57+AE65+AE69+AE74+AE80+AE82+AE90+AE93+AE96+AE97+AE98+AE99+AE100+AE101+AE106</f>
        <v>60111619.122149006</v>
      </c>
      <c r="AF49" s="35"/>
      <c r="AG49" s="35"/>
      <c r="AH49" s="30">
        <f>AH50+AH57+AH65+AH69+AH74+AH80+AH82+AH90+AH93+AH96+AH97+AH98+AH99+AH100+AH101+AH106</f>
        <v>27144178.270000007</v>
      </c>
      <c r="AI49" s="33">
        <f>AH49/AE49*100</f>
        <v>45.15629202208319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8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5749243.5200000005</v>
      </c>
      <c r="AI50" s="248">
        <f aca="true" t="shared" si="7" ref="AI50:AI108">AH50/AE50*100</f>
        <v>41.50032231045009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1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2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1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2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137394.42+66136.03+68723.5+67679.54</f>
        <v>339933.49</v>
      </c>
      <c r="AI56" s="81">
        <f t="shared" si="7"/>
        <v>37.969498138482734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3454333</v>
      </c>
      <c r="AI57" s="248">
        <f t="shared" si="7"/>
        <v>56.05440682901832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54575+145257+242875+44400</f>
        <v>487107</v>
      </c>
      <c r="AI58" s="81">
        <f t="shared" si="7"/>
        <v>25.04266909249921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154575+135696+49300</f>
        <v>339571</v>
      </c>
      <c r="AI59" s="81">
        <f t="shared" si="7"/>
        <v>83.93110931502312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>
        <v>50000</v>
      </c>
      <c r="AI61" s="141">
        <f t="shared" si="7"/>
        <v>26.430553720100434</v>
      </c>
    </row>
    <row r="62" spans="1:35" ht="20.25" customHeight="1">
      <c r="A62" s="43"/>
      <c r="B62" s="43"/>
      <c r="C62" s="309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36000+44000+45250</f>
        <v>125250</v>
      </c>
      <c r="AI62" s="141">
        <f t="shared" si="7"/>
        <v>45.97815074225805</v>
      </c>
    </row>
    <row r="63" spans="1:35" ht="36.75" customHeight="1">
      <c r="A63" s="43"/>
      <c r="B63" s="43"/>
      <c r="C63" s="309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650252+225720+335728+255610+322330+98235+227636+69632+220062+47200</f>
        <v>2452405</v>
      </c>
      <c r="AI63" s="141">
        <f t="shared" si="7"/>
        <v>74.87078801081167</v>
      </c>
    </row>
    <row r="64" spans="1:35" ht="19.5" customHeight="1">
      <c r="A64" s="43"/>
      <c r="B64" s="43"/>
      <c r="C64" s="309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810557.5100000001</v>
      </c>
      <c r="AE65" s="207">
        <f>AE66+AE67+AE68</f>
        <v>810557.5100000001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06" t="s">
        <v>84</v>
      </c>
      <c r="AD66" s="183">
        <f t="shared" si="6"/>
        <v>496098.2500000001</v>
      </c>
      <c r="AE66" s="64">
        <f>152908.76+129844.14+131189.32+126901.63-44745.6</f>
        <v>496098.2500000001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06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06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07" t="s">
        <v>117</v>
      </c>
      <c r="AD69" s="216">
        <f t="shared" si="6"/>
        <v>2653600</v>
      </c>
      <c r="AE69" s="207">
        <f>AE70+AE71+AE72+AE73</f>
        <v>2653600</v>
      </c>
      <c r="AF69" s="213"/>
      <c r="AG69" s="213"/>
      <c r="AH69" s="246">
        <f>AH70+AH71+AH72+AH73</f>
        <v>1193494.5</v>
      </c>
      <c r="AI69" s="247">
        <f t="shared" si="7"/>
        <v>44.97642824841724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07"/>
      <c r="AD70" s="183">
        <f t="shared" si="6"/>
        <v>1878100</v>
      </c>
      <c r="AE70" s="64">
        <f>1705300+172800</f>
        <v>1878100</v>
      </c>
      <c r="AF70" s="170"/>
      <c r="AG70" s="22"/>
      <c r="AH70" s="243">
        <f>62630.03+17956.55+3950.44+29559.27+4385.59+44800+12555.8+15675.08+2632+17925+3943.5+218000+10667.41+29867.04+145343.16+39161.52+6301.59+26665+16730+3680+19200+39504.93+36820.52+5556.56+16730+3680+48661.91</f>
        <v>882582.9000000001</v>
      </c>
      <c r="AI70" s="141">
        <f t="shared" si="7"/>
        <v>46.99339225813323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07"/>
      <c r="AD71" s="183">
        <f t="shared" si="6"/>
        <v>36100</v>
      </c>
      <c r="AE71" s="64">
        <f>Z71</f>
        <v>36100</v>
      </c>
      <c r="AF71" s="22"/>
      <c r="AG71" s="170"/>
      <c r="AH71" s="243">
        <f>10774.62+6345.33</f>
        <v>17119.95</v>
      </c>
      <c r="AI71" s="141">
        <f t="shared" si="7"/>
        <v>47.42368421052632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07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991.77+516.4+534.22+353.35</f>
        <v>2395.7400000000002</v>
      </c>
      <c r="AI72" s="141">
        <f t="shared" si="7"/>
        <v>8.204589041095891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07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94143.81+11352.5+2497.55+26627.8+5858.11+9600+11352.5+2497.55+1195.2+23010+21462.63+4805.26+16132.5+3549.15+31099.8+6841.95+1970.08+433.42+10755+2366.1+3845</f>
        <v>291395.91</v>
      </c>
      <c r="AI73" s="247">
        <f t="shared" si="7"/>
        <v>41.03011968459588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>AE74+AF74</f>
        <v>26927959.392149</v>
      </c>
      <c r="AE74" s="207">
        <f>AE75+AE76+AE77+AE78+AE79</f>
        <v>26927959.392149</v>
      </c>
      <c r="AF74" s="213"/>
      <c r="AG74" s="213"/>
      <c r="AH74" s="246">
        <f>AH75+AH76+AH77+AH78</f>
        <v>13177957.110000001</v>
      </c>
      <c r="AI74" s="247">
        <f t="shared" si="7"/>
        <v>48.93782301915573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948917.94+163090.75+163090.74+179399.82+163090.75+228327.04+97854.45+195708.9+163090.75+146781.67</f>
        <v>2449352.81</v>
      </c>
      <c r="AI75" s="141">
        <f t="shared" si="7"/>
        <v>55.133779367155235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5188613.57+805957.41+217308.34+168393.6+248352.38+168297.6+725973.54+436443.28+77738.63+398809.3+124176.19+431084.58+345928.06+369501.07+177428.71+452843.89+278796.45+112957.7</f>
        <v>10728604.3</v>
      </c>
      <c r="AI76" s="141">
        <f t="shared" si="7"/>
        <v>52.1761350545778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1090324</v>
      </c>
      <c r="AE78" s="54">
        <f>Z78-632790</f>
        <v>1090324</v>
      </c>
      <c r="AF78" s="22"/>
      <c r="AG78" s="22"/>
      <c r="AH78" s="241"/>
      <c r="AI78" s="247">
        <f t="shared" si="7"/>
        <v>0</v>
      </c>
    </row>
    <row r="79" spans="1:35" ht="18.75">
      <c r="A79" s="36"/>
      <c r="B79" s="36"/>
      <c r="C79" s="44"/>
      <c r="D79" s="60" t="s">
        <v>238</v>
      </c>
      <c r="E79" s="61"/>
      <c r="F79" s="61"/>
      <c r="G79" s="61"/>
      <c r="H79" s="61"/>
      <c r="I79" s="61"/>
      <c r="J79" s="61"/>
      <c r="K79" s="61"/>
      <c r="L79" s="61"/>
      <c r="M79" s="88"/>
      <c r="N79" s="89"/>
      <c r="O79" s="90"/>
      <c r="P79" s="63"/>
      <c r="Q79" s="72"/>
      <c r="R79" s="84"/>
      <c r="S79" s="84"/>
      <c r="T79" s="72"/>
      <c r="U79" s="72"/>
      <c r="V79" s="72"/>
      <c r="W79" s="72"/>
      <c r="X79" s="72"/>
      <c r="Y79" s="74"/>
      <c r="Z79" s="64"/>
      <c r="AA79" s="80"/>
      <c r="AB79" s="82"/>
      <c r="AC79" s="22"/>
      <c r="AD79" s="183">
        <f>AE79</f>
        <v>632790</v>
      </c>
      <c r="AE79" s="54">
        <v>632790</v>
      </c>
      <c r="AF79" s="22"/>
      <c r="AG79" s="22"/>
      <c r="AH79" s="241"/>
      <c r="AI79" s="247"/>
    </row>
    <row r="80" spans="1:35" s="2" customFormat="1" ht="18.75">
      <c r="A80" s="204" t="s">
        <v>132</v>
      </c>
      <c r="B80" s="204" t="s">
        <v>34</v>
      </c>
      <c r="C80" s="205" t="s">
        <v>134</v>
      </c>
      <c r="D80" s="206" t="s">
        <v>135</v>
      </c>
      <c r="E80" s="47"/>
      <c r="F80" s="47"/>
      <c r="G80" s="47"/>
      <c r="H80" s="47"/>
      <c r="I80" s="47"/>
      <c r="J80" s="47"/>
      <c r="K80" s="47"/>
      <c r="L80" s="47"/>
      <c r="M80" s="207">
        <v>0</v>
      </c>
      <c r="N80" s="226"/>
      <c r="O80" s="208">
        <f>P80+Q80</f>
        <v>514000</v>
      </c>
      <c r="P80" s="207">
        <f>Q80+R80</f>
        <v>257000</v>
      </c>
      <c r="Q80" s="209">
        <v>257000</v>
      </c>
      <c r="R80" s="213"/>
      <c r="S80" s="213"/>
      <c r="T80" s="209">
        <f>23700.62+50875.25+50875.25+50775.25</f>
        <v>176226.37</v>
      </c>
      <c r="U80" s="209"/>
      <c r="V80" s="209">
        <f>P80*(0.9)</f>
        <v>231300</v>
      </c>
      <c r="W80" s="209"/>
      <c r="X80" s="209">
        <f>23700.62+50875.25+50875.25+50775.25</f>
        <v>176226.37</v>
      </c>
      <c r="Y80" s="211">
        <f>X80/P80*100</f>
        <v>68.57057198443579</v>
      </c>
      <c r="Z80" s="159">
        <v>346347.28</v>
      </c>
      <c r="AA80" s="209">
        <f aca="true" t="shared" si="13" ref="AA80:AA88">Z80/P80*100</f>
        <v>134.7654785992218</v>
      </c>
      <c r="AB80" s="212">
        <f aca="true" t="shared" si="14" ref="AB80:AB104">Z80-P80</f>
        <v>89347.28000000003</v>
      </c>
      <c r="AC80" s="213"/>
      <c r="AD80" s="216">
        <f t="shared" si="6"/>
        <v>277817</v>
      </c>
      <c r="AE80" s="159">
        <f>P80+P80*8.1%</f>
        <v>277817</v>
      </c>
      <c r="AF80" s="213"/>
      <c r="AG80" s="213"/>
      <c r="AH80" s="245">
        <f>AH81</f>
        <v>277817</v>
      </c>
      <c r="AI80" s="247">
        <f t="shared" si="7"/>
        <v>100</v>
      </c>
    </row>
    <row r="81" spans="1:35" s="2" customFormat="1" ht="37.5">
      <c r="A81" s="204"/>
      <c r="B81" s="204"/>
      <c r="C81" s="205"/>
      <c r="D81" s="45" t="s">
        <v>220</v>
      </c>
      <c r="E81" s="47"/>
      <c r="F81" s="47"/>
      <c r="G81" s="47"/>
      <c r="H81" s="47"/>
      <c r="I81" s="47"/>
      <c r="J81" s="47"/>
      <c r="K81" s="47"/>
      <c r="L81" s="47"/>
      <c r="M81" s="207"/>
      <c r="N81" s="226"/>
      <c r="O81" s="208"/>
      <c r="P81" s="207"/>
      <c r="Q81" s="209"/>
      <c r="R81" s="213"/>
      <c r="S81" s="213"/>
      <c r="T81" s="209"/>
      <c r="U81" s="209"/>
      <c r="V81" s="209"/>
      <c r="W81" s="209"/>
      <c r="X81" s="209"/>
      <c r="Y81" s="211"/>
      <c r="Z81" s="159"/>
      <c r="AA81" s="209"/>
      <c r="AB81" s="212"/>
      <c r="AC81" s="213"/>
      <c r="AD81" s="251">
        <f t="shared" si="6"/>
        <v>277817</v>
      </c>
      <c r="AE81" s="252">
        <f>AE80</f>
        <v>277817</v>
      </c>
      <c r="AF81" s="213"/>
      <c r="AG81" s="213"/>
      <c r="AH81" s="245">
        <f>250800+27017</f>
        <v>277817</v>
      </c>
      <c r="AI81" s="141">
        <f t="shared" si="7"/>
        <v>100</v>
      </c>
    </row>
    <row r="82" spans="1:35" s="2" customFormat="1" ht="16.5" customHeight="1">
      <c r="A82" s="204" t="s">
        <v>136</v>
      </c>
      <c r="B82" s="204" t="s">
        <v>35</v>
      </c>
      <c r="C82" s="205" t="s">
        <v>138</v>
      </c>
      <c r="D82" s="206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f>L82</f>
        <v>0</v>
      </c>
      <c r="N82" s="226"/>
      <c r="O82" s="208">
        <f>O83</f>
        <v>1930883.46</v>
      </c>
      <c r="P82" s="207">
        <f>P83</f>
        <v>1930883.46</v>
      </c>
      <c r="Q82" s="209">
        <f>P82</f>
        <v>1930883.46</v>
      </c>
      <c r="R82" s="210"/>
      <c r="S82" s="210"/>
      <c r="T82" s="209">
        <f>T83</f>
        <v>859642.65</v>
      </c>
      <c r="U82" s="209"/>
      <c r="V82" s="209">
        <f>P82*(0.9)</f>
        <v>1737795.114</v>
      </c>
      <c r="W82" s="209"/>
      <c r="X82" s="209">
        <f>X83</f>
        <v>859642.65</v>
      </c>
      <c r="Y82" s="211">
        <f>X82/P82*100</f>
        <v>44.52069054442053</v>
      </c>
      <c r="Z82" s="159">
        <f>Z83</f>
        <v>17397438</v>
      </c>
      <c r="AA82" s="209">
        <f t="shared" si="13"/>
        <v>901.0092198935714</v>
      </c>
      <c r="AB82" s="212">
        <f t="shared" si="14"/>
        <v>15466554.54</v>
      </c>
      <c r="AC82" s="210"/>
      <c r="AD82" s="216">
        <f t="shared" si="6"/>
        <v>7173700</v>
      </c>
      <c r="AE82" s="159">
        <f>AE83+AE89</f>
        <v>7173700</v>
      </c>
      <c r="AF82" s="213"/>
      <c r="AG82" s="213"/>
      <c r="AH82" s="239">
        <f>AH83</f>
        <v>2937880.85</v>
      </c>
      <c r="AI82" s="247">
        <f t="shared" si="7"/>
        <v>40.9534947098429</v>
      </c>
    </row>
    <row r="83" spans="1:35" ht="57" customHeight="1">
      <c r="A83" s="36"/>
      <c r="B83" s="36"/>
      <c r="C83" s="44"/>
      <c r="D83" s="60" t="s">
        <v>236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71">
        <f>P83</f>
        <v>1930883.46</v>
      </c>
      <c r="P83" s="63">
        <v>1930883.46</v>
      </c>
      <c r="Q83" s="72">
        <v>1589311.46</v>
      </c>
      <c r="R83" s="73"/>
      <c r="S83" s="73"/>
      <c r="T83" s="55">
        <f>201636.21+106959.16+388332+795.26+161920.02</f>
        <v>859642.65</v>
      </c>
      <c r="U83" s="55"/>
      <c r="V83" s="55">
        <f>V84+V85</f>
        <v>17397438</v>
      </c>
      <c r="W83" s="55">
        <v>10385400</v>
      </c>
      <c r="X83" s="72">
        <f>201636.21+106959.16+388332+795.26+161920.02</f>
        <v>859642.65</v>
      </c>
      <c r="Y83" s="74">
        <f>X83/P83*100</f>
        <v>44.52069054442053</v>
      </c>
      <c r="Z83" s="64">
        <v>17397438</v>
      </c>
      <c r="AA83" s="55">
        <f t="shared" si="13"/>
        <v>901.0092198935714</v>
      </c>
      <c r="AB83" s="56">
        <f t="shared" si="14"/>
        <v>15466554.54</v>
      </c>
      <c r="AC83" s="87" t="s">
        <v>140</v>
      </c>
      <c r="AD83" s="250">
        <f t="shared" si="6"/>
        <v>7023700</v>
      </c>
      <c r="AE83" s="256">
        <v>7023700</v>
      </c>
      <c r="AF83" s="52"/>
      <c r="AG83" s="52"/>
      <c r="AH83" s="258">
        <f>956537.59+157430.78+70729.77+216774.62+262291.41+34296+344138.34+1517.33+279207.2+343997.88+2676.91+268283.02</f>
        <v>2937880.85</v>
      </c>
      <c r="AI83" s="53">
        <f t="shared" si="7"/>
        <v>41.82810840440224</v>
      </c>
    </row>
    <row r="84" spans="1:35" ht="18.75" hidden="1">
      <c r="A84" s="36"/>
      <c r="B84" s="36"/>
      <c r="C84" s="44"/>
      <c r="D84" s="93" t="s">
        <v>141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1145765.29</v>
      </c>
      <c r="Q84" s="72"/>
      <c r="R84" s="95"/>
      <c r="S84" s="95"/>
      <c r="T84" s="80"/>
      <c r="U84" s="80"/>
      <c r="V84" s="72">
        <v>12523990</v>
      </c>
      <c r="W84" s="72"/>
      <c r="X84" s="96"/>
      <c r="Y84" s="81"/>
      <c r="Z84" s="97">
        <v>12523990</v>
      </c>
      <c r="AA84" s="80">
        <f t="shared" si="13"/>
        <v>1093.0676735721327</v>
      </c>
      <c r="AB84" s="82">
        <f t="shared" si="14"/>
        <v>11378224.71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/>
      <c r="B85" s="36"/>
      <c r="C85" s="44"/>
      <c r="D85" s="93" t="s">
        <v>142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4">
        <v>443546.17</v>
      </c>
      <c r="Q85" s="72"/>
      <c r="R85" s="95"/>
      <c r="S85" s="95"/>
      <c r="T85" s="80"/>
      <c r="U85" s="80"/>
      <c r="V85" s="72">
        <v>4873448</v>
      </c>
      <c r="W85" s="72"/>
      <c r="X85" s="96"/>
      <c r="Y85" s="81"/>
      <c r="Z85" s="97">
        <v>4873448</v>
      </c>
      <c r="AA85" s="80">
        <f t="shared" si="13"/>
        <v>1098.746495770666</v>
      </c>
      <c r="AB85" s="82">
        <f t="shared" si="14"/>
        <v>4429901.83</v>
      </c>
      <c r="AC85" s="22"/>
      <c r="AD85" s="250">
        <f t="shared" si="6"/>
        <v>0</v>
      </c>
      <c r="AE85" s="54"/>
      <c r="AF85" s="22"/>
      <c r="AG85" s="22"/>
      <c r="AH85" s="258"/>
      <c r="AI85" s="53" t="e">
        <f t="shared" si="7"/>
        <v>#DIV/0!</v>
      </c>
    </row>
    <row r="86" spans="1:35" ht="18.75" hidden="1">
      <c r="A86" s="36" t="s">
        <v>143</v>
      </c>
      <c r="B86" s="36"/>
      <c r="C86" s="99"/>
      <c r="D86" s="100" t="s">
        <v>144</v>
      </c>
      <c r="E86" s="101">
        <f>20554.4+1254+42.4</f>
        <v>21850.800000000003</v>
      </c>
      <c r="F86" s="101">
        <f>20118.2+1254+42.4</f>
        <v>21414.600000000002</v>
      </c>
      <c r="G86" s="101">
        <f>166.5+18.4</f>
        <v>184.9</v>
      </c>
      <c r="H86" s="101">
        <f>19951.7+1254+24</f>
        <v>21229.7</v>
      </c>
      <c r="I86" s="102">
        <f>25447.6+198</f>
        <v>25645.6</v>
      </c>
      <c r="J86" s="102">
        <v>10120.4</v>
      </c>
      <c r="K86" s="101">
        <v>21229.7</v>
      </c>
      <c r="L86" s="102"/>
      <c r="M86" s="103">
        <f>M87+M88</f>
        <v>25052300</v>
      </c>
      <c r="N86" s="102"/>
      <c r="O86" s="104">
        <f>P86+Q86</f>
        <v>18162154.96</v>
      </c>
      <c r="P86" s="105"/>
      <c r="Q86" s="103">
        <f>Q87+Q88</f>
        <v>18162154.96</v>
      </c>
      <c r="R86" s="106"/>
      <c r="S86" s="106"/>
      <c r="T86" s="103">
        <f>T87+T88</f>
        <v>18162151.85</v>
      </c>
      <c r="U86" s="103"/>
      <c r="V86" s="103">
        <v>0</v>
      </c>
      <c r="W86" s="103"/>
      <c r="X86" s="103">
        <f>X87+X88</f>
        <v>18162151.85</v>
      </c>
      <c r="Y86" s="107" t="e">
        <f>X86/P86*100</f>
        <v>#DIV/0!</v>
      </c>
      <c r="Z86" s="105">
        <f>Z87+Z88</f>
        <v>0</v>
      </c>
      <c r="AA86" s="103" t="e">
        <f t="shared" si="13"/>
        <v>#DIV/0!</v>
      </c>
      <c r="AB86" s="108">
        <f t="shared" si="14"/>
        <v>0</v>
      </c>
      <c r="AC86" s="106"/>
      <c r="AD86" s="250">
        <f t="shared" si="6"/>
        <v>0</v>
      </c>
      <c r="AE86" s="257"/>
      <c r="AF86" s="171"/>
      <c r="AG86" s="22"/>
      <c r="AH86" s="258"/>
      <c r="AI86" s="53" t="e">
        <f t="shared" si="7"/>
        <v>#DIV/0!</v>
      </c>
    </row>
    <row r="87" spans="1:35" ht="56.25" hidden="1">
      <c r="A87" s="43"/>
      <c r="B87" s="43"/>
      <c r="C87" s="308" t="s">
        <v>145</v>
      </c>
      <c r="D87" s="110" t="s">
        <v>91</v>
      </c>
      <c r="E87" s="111"/>
      <c r="F87" s="111"/>
      <c r="G87" s="111"/>
      <c r="H87" s="111"/>
      <c r="I87" s="112"/>
      <c r="J87" s="112"/>
      <c r="K87" s="112"/>
      <c r="L87" s="113"/>
      <c r="M87" s="114">
        <v>7232100</v>
      </c>
      <c r="N87" s="115"/>
      <c r="O87" s="116">
        <f>P87+Q87</f>
        <v>13707388.44</v>
      </c>
      <c r="P87" s="117">
        <f>Q87+R87</f>
        <v>6853694.22</v>
      </c>
      <c r="Q87" s="118">
        <f>7232100-378405.78</f>
        <v>6853694.22</v>
      </c>
      <c r="R87" s="106"/>
      <c r="S87" s="106"/>
      <c r="T87" s="118">
        <f>1341065+264830+1439254.25+119395.75+507870+59340+35936.5+335196.18+472850.38+220509.52+38684.18+107682.7+71415+175089.2+268474.5+377603.92+171362.7+194439.28+227897.54+71415+353382.62</f>
        <v>6853694.220000001</v>
      </c>
      <c r="U87" s="118"/>
      <c r="V87" s="103">
        <v>0</v>
      </c>
      <c r="W87" s="103"/>
      <c r="X87" s="118">
        <f>1341065+264830+1439254.25+119395.75+507870+59340+35936.5+335196.18+472850.38+220509.52+38684.18+107682.7+71415+175089.2+268474.5+377603.92+171362.7+194439.28+227897.54+71415+353382.62</f>
        <v>6853694.220000001</v>
      </c>
      <c r="Y87" s="119">
        <f>X87/P87*100</f>
        <v>100.00000000000003</v>
      </c>
      <c r="Z87" s="120">
        <v>0</v>
      </c>
      <c r="AA87" s="103">
        <f t="shared" si="13"/>
        <v>0</v>
      </c>
      <c r="AB87" s="108">
        <f t="shared" si="14"/>
        <v>-6853694.22</v>
      </c>
      <c r="AC87" s="106"/>
      <c r="AD87" s="250">
        <f t="shared" si="6"/>
        <v>0</v>
      </c>
      <c r="AE87" s="257"/>
      <c r="AF87" s="171"/>
      <c r="AG87" s="22"/>
      <c r="AH87" s="259"/>
      <c r="AI87" s="53" t="e">
        <f t="shared" si="7"/>
        <v>#DIV/0!</v>
      </c>
    </row>
    <row r="88" spans="1:35" ht="56.25" hidden="1">
      <c r="A88" s="43"/>
      <c r="B88" s="43"/>
      <c r="C88" s="308"/>
      <c r="D88" s="122" t="s">
        <v>92</v>
      </c>
      <c r="E88" s="111"/>
      <c r="F88" s="111"/>
      <c r="G88" s="111"/>
      <c r="H88" s="111"/>
      <c r="I88" s="112"/>
      <c r="J88" s="112"/>
      <c r="K88" s="112"/>
      <c r="L88" s="113"/>
      <c r="M88" s="114">
        <v>17820200</v>
      </c>
      <c r="N88" s="115"/>
      <c r="O88" s="116">
        <f>P88+Q88</f>
        <v>22616921.48</v>
      </c>
      <c r="P88" s="117">
        <f>Q88+R88</f>
        <v>11308460.74</v>
      </c>
      <c r="Q88" s="118">
        <f>17820200-6511739.26</f>
        <v>11308460.74</v>
      </c>
      <c r="R88" s="106"/>
      <c r="S88" s="106"/>
      <c r="T88" s="118">
        <f>485919.56+3050150.33+4015340.79+1228787.45+1461675.45+214759.4+851824.65</f>
        <v>11308457.629999999</v>
      </c>
      <c r="U88" s="118"/>
      <c r="V88" s="103">
        <v>0</v>
      </c>
      <c r="W88" s="103"/>
      <c r="X88" s="118">
        <f>485919.56+3050150.33+4015340.79+1228787.45+1461675.45+214759.4+851824.65</f>
        <v>11308457.629999999</v>
      </c>
      <c r="Y88" s="119">
        <f>X88/P88*100</f>
        <v>99.99997249846754</v>
      </c>
      <c r="Z88" s="120">
        <v>0</v>
      </c>
      <c r="AA88" s="103">
        <f t="shared" si="13"/>
        <v>0</v>
      </c>
      <c r="AB88" s="108">
        <f t="shared" si="14"/>
        <v>-11308460.74</v>
      </c>
      <c r="AC88" s="106"/>
      <c r="AD88" s="250">
        <f t="shared" si="6"/>
        <v>0</v>
      </c>
      <c r="AE88" s="257"/>
      <c r="AF88" s="171"/>
      <c r="AG88" s="22"/>
      <c r="AH88" s="258"/>
      <c r="AI88" s="53" t="e">
        <f t="shared" si="7"/>
        <v>#DIV/0!</v>
      </c>
    </row>
    <row r="89" spans="1:35" ht="37.5">
      <c r="A89" s="43"/>
      <c r="B89" s="43"/>
      <c r="C89" s="249"/>
      <c r="D89" s="253" t="s">
        <v>221</v>
      </c>
      <c r="E89" s="111"/>
      <c r="F89" s="111"/>
      <c r="G89" s="111"/>
      <c r="H89" s="111"/>
      <c r="I89" s="112"/>
      <c r="J89" s="112"/>
      <c r="K89" s="112"/>
      <c r="L89" s="113"/>
      <c r="M89" s="114"/>
      <c r="N89" s="115"/>
      <c r="O89" s="116"/>
      <c r="P89" s="117"/>
      <c r="Q89" s="118"/>
      <c r="R89" s="106"/>
      <c r="S89" s="106"/>
      <c r="T89" s="118"/>
      <c r="U89" s="118"/>
      <c r="V89" s="103"/>
      <c r="W89" s="103"/>
      <c r="X89" s="118"/>
      <c r="Y89" s="119"/>
      <c r="Z89" s="120"/>
      <c r="AA89" s="103"/>
      <c r="AB89" s="108"/>
      <c r="AC89" s="106"/>
      <c r="AD89" s="250">
        <f>AE89</f>
        <v>150000</v>
      </c>
      <c r="AE89" s="64">
        <v>150000</v>
      </c>
      <c r="AF89" s="171"/>
      <c r="AG89" s="22"/>
      <c r="AH89" s="258"/>
      <c r="AI89" s="53">
        <f t="shared" si="7"/>
        <v>0</v>
      </c>
    </row>
    <row r="90" spans="1:35" s="2" customFormat="1" ht="18.75">
      <c r="A90" s="204"/>
      <c r="B90" s="204" t="s">
        <v>36</v>
      </c>
      <c r="C90" s="205" t="s">
        <v>94</v>
      </c>
      <c r="D90" s="206" t="s">
        <v>95</v>
      </c>
      <c r="E90" s="47"/>
      <c r="F90" s="47"/>
      <c r="G90" s="47"/>
      <c r="H90" s="47"/>
      <c r="I90" s="47"/>
      <c r="J90" s="47"/>
      <c r="K90" s="47"/>
      <c r="L90" s="47"/>
      <c r="M90" s="207">
        <v>0</v>
      </c>
      <c r="N90" s="207">
        <v>0</v>
      </c>
      <c r="O90" s="207">
        <v>0</v>
      </c>
      <c r="P90" s="207">
        <v>0</v>
      </c>
      <c r="Q90" s="207">
        <v>0</v>
      </c>
      <c r="R90" s="207">
        <v>0</v>
      </c>
      <c r="S90" s="207">
        <v>0</v>
      </c>
      <c r="T90" s="207">
        <v>0</v>
      </c>
      <c r="U90" s="207"/>
      <c r="V90" s="209">
        <v>212856.4</v>
      </c>
      <c r="W90" s="209"/>
      <c r="X90" s="207">
        <v>0</v>
      </c>
      <c r="Y90" s="207">
        <v>0</v>
      </c>
      <c r="Z90" s="159">
        <f>Z91+Z92</f>
        <v>212856.4</v>
      </c>
      <c r="AA90" s="209"/>
      <c r="AB90" s="212">
        <f t="shared" si="14"/>
        <v>212856.4</v>
      </c>
      <c r="AC90" s="210"/>
      <c r="AD90" s="216">
        <f t="shared" si="6"/>
        <v>212856.4</v>
      </c>
      <c r="AE90" s="159">
        <f>AE91+AE92</f>
        <v>212856.4</v>
      </c>
      <c r="AF90" s="213"/>
      <c r="AG90" s="213"/>
      <c r="AH90" s="246">
        <f>AH91+AH92</f>
        <v>0</v>
      </c>
      <c r="AI90" s="247">
        <f t="shared" si="7"/>
        <v>0</v>
      </c>
    </row>
    <row r="91" spans="1:35" ht="18.75">
      <c r="A91" s="43"/>
      <c r="B91" s="43"/>
      <c r="C91" s="44"/>
      <c r="D91" s="60" t="s">
        <v>150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250">
        <f t="shared" si="6"/>
        <v>100000</v>
      </c>
      <c r="AE91" s="64">
        <v>100000</v>
      </c>
      <c r="AF91" s="171"/>
      <c r="AG91" s="22"/>
      <c r="AH91" s="258"/>
      <c r="AI91" s="53">
        <f t="shared" si="7"/>
        <v>0</v>
      </c>
    </row>
    <row r="92" spans="1:35" ht="19.5" customHeight="1">
      <c r="A92" s="43"/>
      <c r="B92" s="43"/>
      <c r="C92" s="44"/>
      <c r="D92" s="60" t="s">
        <v>151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250">
        <f t="shared" si="6"/>
        <v>112856.4</v>
      </c>
      <c r="AE92" s="64">
        <v>112856.4</v>
      </c>
      <c r="AF92" s="171"/>
      <c r="AG92" s="22"/>
      <c r="AH92" s="258"/>
      <c r="AI92" s="53">
        <f t="shared" si="7"/>
        <v>0</v>
      </c>
    </row>
    <row r="93" spans="1:35" s="225" customFormat="1" ht="22.5" customHeight="1">
      <c r="A93" s="204" t="s">
        <v>152</v>
      </c>
      <c r="B93" s="204" t="s">
        <v>37</v>
      </c>
      <c r="C93" s="205"/>
      <c r="D93" s="217" t="s">
        <v>154</v>
      </c>
      <c r="E93" s="218"/>
      <c r="F93" s="218"/>
      <c r="G93" s="218"/>
      <c r="H93" s="218"/>
      <c r="I93" s="218"/>
      <c r="J93" s="218"/>
      <c r="K93" s="218"/>
      <c r="L93" s="218"/>
      <c r="M93" s="219">
        <f>M95+M94</f>
        <v>325000</v>
      </c>
      <c r="N93" s="218"/>
      <c r="O93" s="208">
        <f aca="true" t="shared" si="16" ref="O93:O104">P93+Q93</f>
        <v>2067000</v>
      </c>
      <c r="P93" s="207">
        <f aca="true" t="shared" si="17" ref="P93:P104">Q93+R93</f>
        <v>1033500</v>
      </c>
      <c r="Q93" s="220">
        <f>Q95+Q94</f>
        <v>1033500</v>
      </c>
      <c r="R93" s="214"/>
      <c r="S93" s="214"/>
      <c r="T93" s="220">
        <f>T95+T94</f>
        <v>669069.4899999999</v>
      </c>
      <c r="U93" s="220"/>
      <c r="V93" s="220">
        <f>V95+V94</f>
        <v>1189112</v>
      </c>
      <c r="W93" s="221"/>
      <c r="X93" s="220">
        <f>X95+X94</f>
        <v>669069.4899999999</v>
      </c>
      <c r="Y93" s="215">
        <f>X93/P93*100</f>
        <v>64.73821867440735</v>
      </c>
      <c r="Z93" s="222">
        <f>Z95+Z94</f>
        <v>1189112</v>
      </c>
      <c r="AA93" s="221">
        <f t="shared" si="15"/>
        <v>115.05679729075955</v>
      </c>
      <c r="AB93" s="223">
        <f t="shared" si="14"/>
        <v>155612</v>
      </c>
      <c r="AC93" s="301" t="s">
        <v>155</v>
      </c>
      <c r="AD93" s="216">
        <f t="shared" si="6"/>
        <v>1189112</v>
      </c>
      <c r="AE93" s="160">
        <v>1189112</v>
      </c>
      <c r="AF93" s="224"/>
      <c r="AG93" s="224"/>
      <c r="AH93" s="246">
        <f>AH94+AH95</f>
        <v>75598.17</v>
      </c>
      <c r="AI93" s="247">
        <f t="shared" si="7"/>
        <v>6.357531502499344</v>
      </c>
    </row>
    <row r="94" spans="1:35" ht="19.5">
      <c r="A94" s="43"/>
      <c r="B94" s="43"/>
      <c r="C94" s="44" t="s">
        <v>156</v>
      </c>
      <c r="D94" s="60" t="s">
        <v>157</v>
      </c>
      <c r="E94" s="124"/>
      <c r="F94" s="124"/>
      <c r="G94" s="124"/>
      <c r="H94" s="124"/>
      <c r="I94" s="124"/>
      <c r="J94" s="124"/>
      <c r="K94" s="124"/>
      <c r="L94" s="124"/>
      <c r="M94" s="125">
        <v>225000</v>
      </c>
      <c r="N94" s="124"/>
      <c r="O94" s="67">
        <f t="shared" si="16"/>
        <v>1867000</v>
      </c>
      <c r="P94" s="63">
        <f t="shared" si="17"/>
        <v>933500</v>
      </c>
      <c r="Q94" s="126">
        <f>225000+378500+30000+300000</f>
        <v>933500</v>
      </c>
      <c r="R94" s="73"/>
      <c r="S94" s="73"/>
      <c r="T94" s="126">
        <f>12823.97+314438.51+1053.06+121644.29+64211.93+20568.88+13082.39+4993.7+64170</f>
        <v>616986.7299999999</v>
      </c>
      <c r="U94" s="126"/>
      <c r="V94" s="77">
        <v>1089113.5</v>
      </c>
      <c r="W94" s="55"/>
      <c r="X94" s="126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301"/>
      <c r="AD94" s="250">
        <f t="shared" si="6"/>
        <v>1089113.5</v>
      </c>
      <c r="AE94" s="127">
        <f>Z94</f>
        <v>1089113.5</v>
      </c>
      <c r="AF94" s="171"/>
      <c r="AG94" s="22"/>
      <c r="AH94" s="261">
        <v>64659.38</v>
      </c>
      <c r="AI94" s="53">
        <f t="shared" si="7"/>
        <v>5.93688169323032</v>
      </c>
    </row>
    <row r="95" spans="1:35" ht="19.5">
      <c r="A95" s="43"/>
      <c r="B95" s="43"/>
      <c r="C95" s="44" t="s">
        <v>156</v>
      </c>
      <c r="D95" s="60" t="s">
        <v>158</v>
      </c>
      <c r="E95" s="124"/>
      <c r="F95" s="124"/>
      <c r="G95" s="124"/>
      <c r="H95" s="124"/>
      <c r="I95" s="124"/>
      <c r="J95" s="124"/>
      <c r="K95" s="124"/>
      <c r="L95" s="124"/>
      <c r="M95" s="125">
        <v>100000</v>
      </c>
      <c r="N95" s="124"/>
      <c r="O95" s="67">
        <f t="shared" si="16"/>
        <v>200000</v>
      </c>
      <c r="P95" s="63">
        <f t="shared" si="17"/>
        <v>100000</v>
      </c>
      <c r="Q95" s="126">
        <v>100000</v>
      </c>
      <c r="R95" s="73"/>
      <c r="S95" s="73"/>
      <c r="T95" s="126">
        <f>385.27+6084.22+13129.31+12261.98+8270.72+11951.26</f>
        <v>52082.76</v>
      </c>
      <c r="U95" s="126"/>
      <c r="V95" s="77">
        <v>99998.5</v>
      </c>
      <c r="W95" s="55"/>
      <c r="X95" s="126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301"/>
      <c r="AD95" s="250">
        <f t="shared" si="6"/>
        <v>99998.5</v>
      </c>
      <c r="AE95" s="127">
        <f>Z95</f>
        <v>99998.5</v>
      </c>
      <c r="AF95" s="171"/>
      <c r="AG95" s="22"/>
      <c r="AH95" s="262">
        <f>3627.67+2979.18+4331.94</f>
        <v>10938.79</v>
      </c>
      <c r="AI95" s="53">
        <f t="shared" si="7"/>
        <v>10.938954084311266</v>
      </c>
    </row>
    <row r="96" spans="1:35" s="2" customFormat="1" ht="18.75">
      <c r="A96" s="204" t="s">
        <v>159</v>
      </c>
      <c r="B96" s="204" t="s">
        <v>38</v>
      </c>
      <c r="C96" s="205" t="s">
        <v>156</v>
      </c>
      <c r="D96" s="206" t="s">
        <v>161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7">
        <v>59112.8</v>
      </c>
      <c r="N96" s="47"/>
      <c r="O96" s="208">
        <f t="shared" si="16"/>
        <v>118225.6</v>
      </c>
      <c r="P96" s="207">
        <f t="shared" si="17"/>
        <v>59112.8</v>
      </c>
      <c r="Q96" s="209">
        <f>59136-23.2</f>
        <v>59112.8</v>
      </c>
      <c r="R96" s="210"/>
      <c r="S96" s="210"/>
      <c r="T96" s="209">
        <v>15318.9</v>
      </c>
      <c r="U96" s="209"/>
      <c r="V96" s="209">
        <v>208100</v>
      </c>
      <c r="W96" s="209"/>
      <c r="X96" s="209">
        <v>15318.9</v>
      </c>
      <c r="Y96" s="211">
        <f>X96/P96*100</f>
        <v>25.91469191105818</v>
      </c>
      <c r="Z96" s="159">
        <v>208100</v>
      </c>
      <c r="AA96" s="209">
        <f t="shared" si="15"/>
        <v>352.03881392862456</v>
      </c>
      <c r="AB96" s="212">
        <f t="shared" si="14"/>
        <v>148987.2</v>
      </c>
      <c r="AC96" s="210" t="s">
        <v>162</v>
      </c>
      <c r="AD96" s="216">
        <f t="shared" si="6"/>
        <v>76052.53</v>
      </c>
      <c r="AE96" s="159">
        <f>P96+11241.06+5698.67</f>
        <v>76052.53</v>
      </c>
      <c r="AF96" s="213"/>
      <c r="AG96" s="213"/>
      <c r="AH96" s="242">
        <v>32017.68</v>
      </c>
      <c r="AI96" s="247">
        <f t="shared" si="7"/>
        <v>42.09942785598323</v>
      </c>
    </row>
    <row r="97" spans="1:35" s="2" customFormat="1" ht="18.75">
      <c r="A97" s="204" t="s">
        <v>163</v>
      </c>
      <c r="B97" s="204" t="s">
        <v>39</v>
      </c>
      <c r="C97" s="205" t="s">
        <v>156</v>
      </c>
      <c r="D97" s="206" t="s">
        <v>165</v>
      </c>
      <c r="E97" s="47"/>
      <c r="F97" s="47"/>
      <c r="G97" s="47"/>
      <c r="H97" s="47"/>
      <c r="I97" s="47"/>
      <c r="J97" s="47"/>
      <c r="K97" s="47"/>
      <c r="L97" s="47"/>
      <c r="M97" s="207">
        <v>0</v>
      </c>
      <c r="N97" s="47"/>
      <c r="O97" s="208">
        <f t="shared" si="16"/>
        <v>54000</v>
      </c>
      <c r="P97" s="207">
        <f t="shared" si="17"/>
        <v>27000</v>
      </c>
      <c r="Q97" s="209">
        <v>27000</v>
      </c>
      <c r="R97" s="210"/>
      <c r="S97" s="210"/>
      <c r="T97" s="209">
        <f>8994.7+8994.7</f>
        <v>17989.4</v>
      </c>
      <c r="U97" s="209"/>
      <c r="V97" s="209">
        <v>62426.4</v>
      </c>
      <c r="W97" s="209"/>
      <c r="X97" s="209">
        <f>8994.7+8994.7</f>
        <v>17989.4</v>
      </c>
      <c r="Y97" s="211"/>
      <c r="Z97" s="159">
        <v>62426.4</v>
      </c>
      <c r="AA97" s="209">
        <f t="shared" si="15"/>
        <v>231.20888888888888</v>
      </c>
      <c r="AB97" s="212">
        <f t="shared" si="14"/>
        <v>35426.4</v>
      </c>
      <c r="AC97" s="210" t="s">
        <v>84</v>
      </c>
      <c r="AD97" s="216">
        <f t="shared" si="6"/>
        <v>107172</v>
      </c>
      <c r="AE97" s="159">
        <f>Z97+44745.6</f>
        <v>107172</v>
      </c>
      <c r="AF97" s="213"/>
      <c r="AG97" s="213"/>
      <c r="AH97" s="242"/>
      <c r="AI97" s="247">
        <f t="shared" si="7"/>
        <v>0</v>
      </c>
    </row>
    <row r="98" spans="1:35" ht="37.5" hidden="1">
      <c r="A98" s="36" t="s">
        <v>166</v>
      </c>
      <c r="B98" s="36" t="s">
        <v>167</v>
      </c>
      <c r="C98" s="37" t="s">
        <v>168</v>
      </c>
      <c r="D98" s="38" t="s">
        <v>169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28"/>
      <c r="S98" s="91"/>
      <c r="T98" s="129">
        <v>5475807.68</v>
      </c>
      <c r="U98" s="129"/>
      <c r="V98" s="40">
        <v>0</v>
      </c>
      <c r="W98" s="40"/>
      <c r="X98" s="129">
        <v>5475807.68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3">
        <f t="shared" si="6"/>
        <v>0</v>
      </c>
      <c r="AE98" s="41">
        <f>AE99+AE100+AE101</f>
        <v>0</v>
      </c>
      <c r="AF98" s="171"/>
      <c r="AG98" s="22"/>
      <c r="AH98" s="243"/>
      <c r="AI98" s="247" t="e">
        <f t="shared" si="7"/>
        <v>#DIV/0!</v>
      </c>
    </row>
    <row r="99" spans="1:35" ht="37.5" hidden="1">
      <c r="A99" s="36" t="s">
        <v>170</v>
      </c>
      <c r="B99" s="36" t="s">
        <v>171</v>
      </c>
      <c r="C99" s="37" t="s">
        <v>168</v>
      </c>
      <c r="D99" s="38" t="s">
        <v>172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28"/>
      <c r="S99" s="91"/>
      <c r="T99" s="129">
        <v>170381.14</v>
      </c>
      <c r="U99" s="129"/>
      <c r="V99" s="40">
        <v>0</v>
      </c>
      <c r="W99" s="40"/>
      <c r="X99" s="129">
        <v>170381.14</v>
      </c>
      <c r="Y99" s="123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32.25" customHeight="1" hidden="1">
      <c r="A100" s="36" t="s">
        <v>173</v>
      </c>
      <c r="B100" s="36" t="s">
        <v>174</v>
      </c>
      <c r="C100" s="37" t="s">
        <v>168</v>
      </c>
      <c r="D100" s="38" t="s">
        <v>175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28"/>
      <c r="S100" s="91"/>
      <c r="T100" s="129"/>
      <c r="U100" s="129"/>
      <c r="V100" s="40">
        <v>0</v>
      </c>
      <c r="W100" s="40"/>
      <c r="X100" s="129"/>
      <c r="Y100" s="123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51.75" customHeight="1" hidden="1">
      <c r="A101" s="36" t="s">
        <v>176</v>
      </c>
      <c r="B101" s="36" t="s">
        <v>177</v>
      </c>
      <c r="C101" s="37" t="s">
        <v>178</v>
      </c>
      <c r="D101" s="38" t="s">
        <v>179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0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1">
        <f aca="true" t="shared" si="18" ref="Y101:Y108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3">
        <f t="shared" si="6"/>
        <v>0</v>
      </c>
      <c r="AE101" s="41">
        <f>AE102+AE103+AE104</f>
        <v>0</v>
      </c>
      <c r="AF101" s="22"/>
      <c r="AG101" s="22"/>
      <c r="AH101" s="243"/>
      <c r="AI101" s="247" t="e">
        <f t="shared" si="7"/>
        <v>#DIV/0!</v>
      </c>
    </row>
    <row r="102" spans="1:35" ht="24" customHeight="1" hidden="1">
      <c r="A102" s="36"/>
      <c r="B102" s="36"/>
      <c r="C102" s="44"/>
      <c r="D102" s="60" t="s">
        <v>180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2"/>
      <c r="S102" s="68"/>
      <c r="T102" s="126">
        <f>185695.2+283914.6+257099.4+99340.8+62907.6+129854.4+71424+72591.6+236332.8+190290+101258.4+5511.6+10389.6</f>
        <v>1706610.0000000002</v>
      </c>
      <c r="U102" s="126"/>
      <c r="V102" s="80">
        <v>0</v>
      </c>
      <c r="W102" s="80"/>
      <c r="X102" s="126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18.75" hidden="1">
      <c r="A103" s="36"/>
      <c r="B103" s="36"/>
      <c r="C103" s="44"/>
      <c r="D103" s="60" t="s">
        <v>181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2"/>
      <c r="S103" s="68"/>
      <c r="T103" s="126">
        <f>309091.2+295428.55+104848.25+410089.8+99821.4+824466.6+79300.2-85899.6+234306+338492.4+314325+469128-30844.2+68012.4+172592.4+166410+6012</f>
        <v>3775580.3999999994</v>
      </c>
      <c r="U103" s="126"/>
      <c r="V103" s="80">
        <v>0</v>
      </c>
      <c r="W103" s="80"/>
      <c r="X103" s="126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21" customHeight="1" hidden="1">
      <c r="A104" s="36"/>
      <c r="B104" s="36"/>
      <c r="C104" s="44"/>
      <c r="D104" s="60" t="s">
        <v>182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2"/>
      <c r="S104" s="68"/>
      <c r="T104" s="126">
        <v>2072751.6</v>
      </c>
      <c r="U104" s="126"/>
      <c r="V104" s="80">
        <v>0</v>
      </c>
      <c r="W104" s="80"/>
      <c r="X104" s="126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3">
        <f t="shared" si="6"/>
        <v>0</v>
      </c>
      <c r="AE104" s="98"/>
      <c r="AF104" s="22"/>
      <c r="AG104" s="22"/>
      <c r="AH104" s="243"/>
      <c r="AI104" s="247" t="e">
        <f t="shared" si="7"/>
        <v>#DIV/0!</v>
      </c>
    </row>
    <row r="105" spans="1:35" ht="21" customHeight="1">
      <c r="A105" s="36"/>
      <c r="B105" s="36"/>
      <c r="C105" s="44"/>
      <c r="D105" s="60" t="s">
        <v>239</v>
      </c>
      <c r="E105" s="79"/>
      <c r="F105" s="79"/>
      <c r="G105" s="79"/>
      <c r="H105" s="79"/>
      <c r="I105" s="79"/>
      <c r="J105" s="79"/>
      <c r="K105" s="79"/>
      <c r="L105" s="79"/>
      <c r="M105" s="63"/>
      <c r="N105" s="79"/>
      <c r="O105" s="67"/>
      <c r="P105" s="63"/>
      <c r="Q105" s="72"/>
      <c r="R105" s="132"/>
      <c r="S105" s="68"/>
      <c r="T105" s="126"/>
      <c r="U105" s="126"/>
      <c r="V105" s="80"/>
      <c r="W105" s="80"/>
      <c r="X105" s="126"/>
      <c r="Y105" s="74"/>
      <c r="Z105" s="64"/>
      <c r="AA105" s="80"/>
      <c r="AB105" s="82"/>
      <c r="AC105" s="52"/>
      <c r="AD105" s="283">
        <f>AE105</f>
        <v>11806.56</v>
      </c>
      <c r="AE105" s="54">
        <v>11806.56</v>
      </c>
      <c r="AF105" s="22"/>
      <c r="AG105" s="22"/>
      <c r="AH105" s="243"/>
      <c r="AI105" s="247">
        <f t="shared" si="7"/>
        <v>0</v>
      </c>
    </row>
    <row r="106" spans="1:35" ht="100.5" customHeight="1">
      <c r="A106" s="36"/>
      <c r="B106" s="43" t="s">
        <v>226</v>
      </c>
      <c r="C106" s="44"/>
      <c r="D106" s="275" t="s">
        <v>225</v>
      </c>
      <c r="E106" s="47"/>
      <c r="F106" s="47"/>
      <c r="G106" s="47"/>
      <c r="H106" s="47"/>
      <c r="I106" s="47"/>
      <c r="J106" s="47"/>
      <c r="K106" s="47"/>
      <c r="L106" s="47"/>
      <c r="M106" s="207"/>
      <c r="N106" s="47"/>
      <c r="O106" s="208"/>
      <c r="P106" s="207"/>
      <c r="Q106" s="209"/>
      <c r="R106" s="210"/>
      <c r="S106" s="210"/>
      <c r="T106" s="209"/>
      <c r="U106" s="209"/>
      <c r="V106" s="209"/>
      <c r="W106" s="209"/>
      <c r="X106" s="209"/>
      <c r="Y106" s="211"/>
      <c r="Z106" s="159"/>
      <c r="AA106" s="209"/>
      <c r="AB106" s="212"/>
      <c r="AC106" s="210"/>
      <c r="AD106" s="276">
        <f>AE106</f>
        <v>666836.4</v>
      </c>
      <c r="AE106" s="159">
        <v>666836.4</v>
      </c>
      <c r="AF106" s="22"/>
      <c r="AG106" s="22"/>
      <c r="AH106" s="244">
        <v>245836.44</v>
      </c>
      <c r="AI106" s="247">
        <f t="shared" si="7"/>
        <v>36.866079896058466</v>
      </c>
    </row>
    <row r="107" spans="1:35" ht="21" customHeight="1">
      <c r="A107" s="36"/>
      <c r="B107" s="23" t="s">
        <v>30</v>
      </c>
      <c r="C107" s="24">
        <v>1</v>
      </c>
      <c r="D107" s="25" t="s">
        <v>183</v>
      </c>
      <c r="E107" s="26"/>
      <c r="F107" s="26"/>
      <c r="G107" s="27"/>
      <c r="H107" s="26"/>
      <c r="I107" s="26"/>
      <c r="J107" s="28"/>
      <c r="K107" s="28"/>
      <c r="L107" s="28"/>
      <c r="M107" s="29">
        <f>M108</f>
        <v>28400</v>
      </c>
      <c r="N107" s="133"/>
      <c r="O107" s="134">
        <f>P107+Q107</f>
        <v>56800</v>
      </c>
      <c r="P107" s="30">
        <f>Q107+R107</f>
        <v>28400</v>
      </c>
      <c r="Q107" s="31">
        <f>Q108</f>
        <v>28400</v>
      </c>
      <c r="R107" s="31">
        <f>R108</f>
        <v>0</v>
      </c>
      <c r="S107" s="31">
        <f>S108</f>
        <v>0</v>
      </c>
      <c r="T107" s="31">
        <f>T108</f>
        <v>0</v>
      </c>
      <c r="U107" s="31"/>
      <c r="V107" s="31">
        <f>P107*(0.9)</f>
        <v>25560</v>
      </c>
      <c r="W107" s="31"/>
      <c r="X107" s="31">
        <f>X108</f>
        <v>0</v>
      </c>
      <c r="Y107" s="33">
        <f t="shared" si="18"/>
        <v>0</v>
      </c>
      <c r="Z107" s="30">
        <v>50000</v>
      </c>
      <c r="AA107" s="29">
        <f>Z107/P107*100</f>
        <v>176.05633802816902</v>
      </c>
      <c r="AB107" s="287"/>
      <c r="AC107" s="22" t="s">
        <v>184</v>
      </c>
      <c r="AD107" s="189">
        <f t="shared" si="6"/>
        <v>30700</v>
      </c>
      <c r="AE107" s="135">
        <f>AE108</f>
        <v>30700</v>
      </c>
      <c r="AF107" s="35"/>
      <c r="AG107" s="35"/>
      <c r="AH107" s="281">
        <v>0</v>
      </c>
      <c r="AI107" s="33">
        <f t="shared" si="7"/>
        <v>0</v>
      </c>
    </row>
    <row r="108" spans="1:35" ht="21" customHeight="1">
      <c r="A108" s="36"/>
      <c r="B108" s="230" t="s">
        <v>107</v>
      </c>
      <c r="C108" s="136"/>
      <c r="D108" s="203" t="s">
        <v>185</v>
      </c>
      <c r="E108" s="12"/>
      <c r="F108" s="12"/>
      <c r="G108" s="13"/>
      <c r="H108" s="12"/>
      <c r="I108" s="12"/>
      <c r="J108" s="137"/>
      <c r="K108" s="137"/>
      <c r="L108" s="137"/>
      <c r="M108" s="138">
        <v>28400</v>
      </c>
      <c r="N108" s="137"/>
      <c r="O108" s="139">
        <f>P108+Q108</f>
        <v>56800</v>
      </c>
      <c r="P108" s="140">
        <f>Q108+R108</f>
        <v>28400</v>
      </c>
      <c r="Q108" s="80">
        <v>28400</v>
      </c>
      <c r="R108" s="80">
        <v>0</v>
      </c>
      <c r="S108" s="80">
        <v>0</v>
      </c>
      <c r="T108" s="80">
        <v>0</v>
      </c>
      <c r="U108" s="80"/>
      <c r="V108" s="80">
        <f>P108*(0.9)</f>
        <v>25560</v>
      </c>
      <c r="W108" s="80"/>
      <c r="X108" s="80">
        <v>0</v>
      </c>
      <c r="Y108" s="141">
        <f t="shared" si="18"/>
        <v>0</v>
      </c>
      <c r="Z108" s="142">
        <v>50000</v>
      </c>
      <c r="AA108" s="80">
        <f>Z108/P108*100</f>
        <v>176.05633802816902</v>
      </c>
      <c r="AB108" s="287"/>
      <c r="AC108" s="22"/>
      <c r="AD108" s="250">
        <f t="shared" si="6"/>
        <v>30700</v>
      </c>
      <c r="AE108" s="54">
        <v>30700</v>
      </c>
      <c r="AF108" s="87"/>
      <c r="AG108" s="87"/>
      <c r="AH108" s="280">
        <v>0</v>
      </c>
      <c r="AI108" s="53">
        <f t="shared" si="7"/>
        <v>0</v>
      </c>
    </row>
    <row r="109" spans="1:35" ht="64.5" customHeight="1">
      <c r="A109" s="36"/>
      <c r="B109" s="143" t="s">
        <v>31</v>
      </c>
      <c r="C109" s="144"/>
      <c r="D109" s="145" t="s">
        <v>147</v>
      </c>
      <c r="E109" s="146"/>
      <c r="F109" s="146"/>
      <c r="G109" s="146"/>
      <c r="H109" s="146"/>
      <c r="I109" s="146"/>
      <c r="J109" s="146"/>
      <c r="K109" s="146"/>
      <c r="L109" s="146"/>
      <c r="M109" s="147"/>
      <c r="N109" s="147"/>
      <c r="O109" s="147"/>
      <c r="P109" s="147"/>
      <c r="Q109" s="147"/>
      <c r="R109" s="147"/>
      <c r="S109" s="147"/>
      <c r="T109" s="147"/>
      <c r="U109" s="147"/>
      <c r="V109" s="31"/>
      <c r="W109" s="31"/>
      <c r="X109" s="147"/>
      <c r="Y109" s="147"/>
      <c r="Z109" s="135"/>
      <c r="AA109" s="31"/>
      <c r="AB109" s="34"/>
      <c r="AC109" s="172"/>
      <c r="AD109" s="189">
        <f>AE109+AF109</f>
        <v>777789.24</v>
      </c>
      <c r="AE109" s="135">
        <f>AE111</f>
        <v>777789.24</v>
      </c>
      <c r="AF109" s="35"/>
      <c r="AG109" s="35"/>
      <c r="AH109" s="240">
        <f>AH111</f>
        <v>82443.06000000001</v>
      </c>
      <c r="AI109" s="33">
        <f>AH109/AD109*100</f>
        <v>10.599665791210999</v>
      </c>
    </row>
    <row r="110" spans="1:35" ht="20.25" customHeight="1">
      <c r="A110" s="36" t="s">
        <v>148</v>
      </c>
      <c r="B110" s="43" t="s">
        <v>134</v>
      </c>
      <c r="C110" s="37"/>
      <c r="D110" s="92" t="s">
        <v>149</v>
      </c>
      <c r="E110" s="79"/>
      <c r="F110" s="79"/>
      <c r="G110" s="79"/>
      <c r="H110" s="79"/>
      <c r="I110" s="79"/>
      <c r="J110" s="79"/>
      <c r="K110" s="79"/>
      <c r="L110" s="79"/>
      <c r="M110" s="236">
        <f>M111</f>
        <v>135989</v>
      </c>
      <c r="N110" s="236"/>
      <c r="O110" s="90">
        <f>P110+Q110</f>
        <v>271978</v>
      </c>
      <c r="P110" s="88">
        <f>Q110+R110</f>
        <v>135989</v>
      </c>
      <c r="Q110" s="80">
        <f>Q111</f>
        <v>135989</v>
      </c>
      <c r="R110" s="171"/>
      <c r="S110" s="171"/>
      <c r="T110" s="80">
        <f>T111</f>
        <v>128500.84000000001</v>
      </c>
      <c r="U110" s="80"/>
      <c r="V110" s="80">
        <f>V111</f>
        <v>1147180.09</v>
      </c>
      <c r="W110" s="80">
        <v>402800</v>
      </c>
      <c r="X110" s="80">
        <f>X111</f>
        <v>128500.84000000001</v>
      </c>
      <c r="Y110" s="81">
        <f>X110/P110*100</f>
        <v>94.4935546257418</v>
      </c>
      <c r="Z110" s="88">
        <f>Z111</f>
        <v>1147180.09</v>
      </c>
      <c r="AA110" s="80">
        <f>Z110/P110*100</f>
        <v>843.5830030370104</v>
      </c>
      <c r="AB110" s="82">
        <f>Z110-P110</f>
        <v>1011191.0900000001</v>
      </c>
      <c r="AC110" s="95"/>
      <c r="AD110" s="237">
        <f>AE110+AF110</f>
        <v>777789.24</v>
      </c>
      <c r="AE110" s="238">
        <f>AE111</f>
        <v>777789.24</v>
      </c>
      <c r="AF110" s="171"/>
      <c r="AG110" s="22"/>
      <c r="AH110" s="243">
        <f>AH111</f>
        <v>82443.06000000001</v>
      </c>
      <c r="AI110" s="247">
        <f>AH110/AD110*100</f>
        <v>10.599665791210999</v>
      </c>
    </row>
    <row r="111" spans="1:35" ht="34.5" customHeight="1">
      <c r="A111" s="36"/>
      <c r="B111" s="36"/>
      <c r="C111" s="148"/>
      <c r="D111" s="83" t="s">
        <v>88</v>
      </c>
      <c r="E111" s="61"/>
      <c r="F111" s="61"/>
      <c r="G111" s="61"/>
      <c r="H111" s="61"/>
      <c r="I111" s="61"/>
      <c r="J111" s="61"/>
      <c r="K111" s="61"/>
      <c r="L111" s="61"/>
      <c r="M111" s="72">
        <f>135989</f>
        <v>135989</v>
      </c>
      <c r="N111" s="89"/>
      <c r="O111" s="67">
        <f>P111+Q111</f>
        <v>271978</v>
      </c>
      <c r="P111" s="63">
        <f>Q111+R111</f>
        <v>135989</v>
      </c>
      <c r="Q111" s="51">
        <f>135989</f>
        <v>135989</v>
      </c>
      <c r="R111" s="84"/>
      <c r="S111" s="84"/>
      <c r="T111" s="51">
        <f>6438.31+13187.76+54909+12393.8+41571.97</f>
        <v>128500.84000000001</v>
      </c>
      <c r="U111" s="51"/>
      <c r="V111" s="55">
        <v>1147180.09</v>
      </c>
      <c r="W111" s="55">
        <f>W110</f>
        <v>402800</v>
      </c>
      <c r="X111" s="51">
        <f>6438.31+13187.76+54909+12393.8+41571.97</f>
        <v>128500.84000000001</v>
      </c>
      <c r="Y111" s="69">
        <f>X111/P111*100</f>
        <v>94.4935546257418</v>
      </c>
      <c r="Z111" s="149">
        <v>1147180.09</v>
      </c>
      <c r="AA111" s="55">
        <f>Z111/P111*100</f>
        <v>843.5830030370104</v>
      </c>
      <c r="AB111" s="56">
        <f>Z111-P111</f>
        <v>1011191.0900000001</v>
      </c>
      <c r="AC111" s="84" t="s">
        <v>89</v>
      </c>
      <c r="AD111" s="250">
        <f>AE111+AF111</f>
        <v>777789.24</v>
      </c>
      <c r="AE111" s="64">
        <v>777789.24</v>
      </c>
      <c r="AF111" s="22"/>
      <c r="AG111" s="22"/>
      <c r="AH111" s="258">
        <f>11291.3+9563.01+9331.63+11197.95+10805.05+9724.53+8211.82+12317.77</f>
        <v>82443.06000000001</v>
      </c>
      <c r="AI111" s="260">
        <f>AH111/AD111*100</f>
        <v>10.599665791210999</v>
      </c>
    </row>
    <row r="112" spans="1:35" ht="0.75" customHeight="1" hidden="1">
      <c r="A112" s="36"/>
      <c r="B112" s="36"/>
      <c r="C112" s="148"/>
      <c r="D112" s="83"/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0"/>
      <c r="AE112" s="64"/>
      <c r="AF112" s="22"/>
      <c r="AG112" s="22"/>
      <c r="AH112" s="263"/>
      <c r="AI112" s="260"/>
    </row>
    <row r="113" spans="1:35" ht="36.75" customHeight="1">
      <c r="A113" s="36"/>
      <c r="B113" s="143" t="s">
        <v>168</v>
      </c>
      <c r="C113" s="264"/>
      <c r="D113" s="145" t="s">
        <v>222</v>
      </c>
      <c r="E113" s="265"/>
      <c r="F113" s="265"/>
      <c r="G113" s="265"/>
      <c r="H113" s="265"/>
      <c r="I113" s="265"/>
      <c r="J113" s="265"/>
      <c r="K113" s="265"/>
      <c r="L113" s="265"/>
      <c r="M113" s="266"/>
      <c r="N113" s="267"/>
      <c r="O113" s="268"/>
      <c r="P113" s="147"/>
      <c r="Q113" s="269"/>
      <c r="R113" s="270"/>
      <c r="S113" s="270"/>
      <c r="T113" s="269"/>
      <c r="U113" s="269"/>
      <c r="V113" s="271"/>
      <c r="W113" s="271"/>
      <c r="X113" s="269"/>
      <c r="Y113" s="272"/>
      <c r="Z113" s="273"/>
      <c r="AA113" s="271"/>
      <c r="AB113" s="274"/>
      <c r="AC113" s="270"/>
      <c r="AD113" s="189">
        <f>AE113</f>
        <v>4500000</v>
      </c>
      <c r="AE113" s="135">
        <f>AE114</f>
        <v>4500000</v>
      </c>
      <c r="AF113" s="35"/>
      <c r="AG113" s="35"/>
      <c r="AH113" s="279">
        <f>AH114</f>
        <v>0</v>
      </c>
      <c r="AI113" s="33">
        <f>AH113/AD113*100</f>
        <v>0</v>
      </c>
    </row>
    <row r="114" spans="1:35" ht="36.75" customHeight="1">
      <c r="A114" s="36"/>
      <c r="B114" s="43" t="s">
        <v>223</v>
      </c>
      <c r="C114" s="148"/>
      <c r="D114" s="66" t="s">
        <v>224</v>
      </c>
      <c r="E114" s="61"/>
      <c r="F114" s="61"/>
      <c r="G114" s="61"/>
      <c r="H114" s="61"/>
      <c r="I114" s="61"/>
      <c r="J114" s="61"/>
      <c r="K114" s="61"/>
      <c r="L114" s="61"/>
      <c r="M114" s="72"/>
      <c r="N114" s="89"/>
      <c r="O114" s="67"/>
      <c r="P114" s="63"/>
      <c r="Q114" s="51"/>
      <c r="R114" s="84"/>
      <c r="S114" s="84"/>
      <c r="T114" s="51"/>
      <c r="U114" s="51"/>
      <c r="V114" s="55"/>
      <c r="W114" s="55"/>
      <c r="X114" s="51"/>
      <c r="Y114" s="69"/>
      <c r="Z114" s="149"/>
      <c r="AA114" s="55"/>
      <c r="AB114" s="56"/>
      <c r="AC114" s="84"/>
      <c r="AD114" s="255">
        <f>AE114</f>
        <v>4500000</v>
      </c>
      <c r="AE114" s="254">
        <v>4500000</v>
      </c>
      <c r="AF114" s="22"/>
      <c r="AG114" s="22"/>
      <c r="AH114" s="278">
        <v>0</v>
      </c>
      <c r="AI114" s="247">
        <f>AH114/AD114*100</f>
        <v>0</v>
      </c>
    </row>
    <row r="115" spans="1:35" ht="18" customHeight="1">
      <c r="A115" s="150"/>
      <c r="B115" s="150"/>
      <c r="C115" s="151"/>
      <c r="D115" s="152" t="s">
        <v>110</v>
      </c>
      <c r="E115" s="150"/>
      <c r="F115" s="150"/>
      <c r="G115" s="150"/>
      <c r="H115" s="150"/>
      <c r="I115" s="153"/>
      <c r="J115" s="153"/>
      <c r="K115" s="153"/>
      <c r="L115" s="153"/>
      <c r="M115" s="90" t="e">
        <f>M107+M49</f>
        <v>#REF!</v>
      </c>
      <c r="N115" s="90" t="e">
        <f>N107+N49</f>
        <v>#VALUE!</v>
      </c>
      <c r="O115" s="90" t="e">
        <f>O107+O49</f>
        <v>#REF!</v>
      </c>
      <c r="P115" s="88" t="e">
        <f>P107+P49</f>
        <v>#REF!</v>
      </c>
      <c r="Q115" s="90"/>
      <c r="R115" s="90"/>
      <c r="S115" s="90"/>
      <c r="T115" s="90"/>
      <c r="U115" s="90"/>
      <c r="V115" s="90"/>
      <c r="W115" s="80"/>
      <c r="X115" s="90"/>
      <c r="Y115" s="90"/>
      <c r="Z115" s="88" t="e">
        <f>Z107+Z49</f>
        <v>#REF!</v>
      </c>
      <c r="AA115" s="90" t="e">
        <f>AA107+AA49</f>
        <v>#REF!</v>
      </c>
      <c r="AB115" s="90" t="e">
        <f>AB107+AB49</f>
        <v>#REF!</v>
      </c>
      <c r="AC115" s="90"/>
      <c r="AD115" s="183">
        <f>AD109+AD107+AD49+AD47+AD8+AD113</f>
        <v>85023018.362149</v>
      </c>
      <c r="AE115" s="88">
        <f>AE113+AE109+AE107+AE49</f>
        <v>65420108.36214901</v>
      </c>
      <c r="AF115" s="88">
        <f>AF8+AF47</f>
        <v>19602910</v>
      </c>
      <c r="AG115" s="88">
        <f>AG109+AG107+AG49+AG47+AG8</f>
        <v>19602910</v>
      </c>
      <c r="AH115" s="183">
        <f>AH113+AH109+AH107+AH49+AH47+AH8</f>
        <v>28969367.910000008</v>
      </c>
      <c r="AI115" s="247">
        <f>AH115/AD115*100</f>
        <v>34.0723823595714</v>
      </c>
    </row>
    <row r="116" spans="16:23" ht="12.75">
      <c r="P116" s="121"/>
      <c r="R116" s="169"/>
      <c r="S116" s="169"/>
      <c r="V116" s="109"/>
      <c r="W116" s="109"/>
    </row>
    <row r="117" spans="1:30" ht="12.75">
      <c r="A117" s="154"/>
      <c r="B117" s="157"/>
      <c r="C117" s="155"/>
      <c r="P117" s="121"/>
      <c r="R117" s="5"/>
      <c r="S117" s="5"/>
      <c r="T117" s="5"/>
      <c r="U117" s="5"/>
      <c r="V117" s="5"/>
      <c r="W117" s="5"/>
      <c r="X117" s="5"/>
      <c r="AD117" s="229"/>
    </row>
    <row r="118" spans="4:33" s="231" customFormat="1" ht="18.75"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3"/>
      <c r="Q118" s="232"/>
      <c r="R118" s="234"/>
      <c r="S118" s="234"/>
      <c r="T118" s="234"/>
      <c r="U118" s="234"/>
      <c r="V118" s="234"/>
      <c r="W118" s="234"/>
      <c r="X118" s="234"/>
      <c r="Y118" s="232"/>
      <c r="Z118" s="232"/>
      <c r="AA118" s="232"/>
      <c r="AB118" s="232"/>
      <c r="AC118" s="232"/>
      <c r="AD118" s="232"/>
      <c r="AF118" s="282"/>
      <c r="AG118" s="235"/>
    </row>
    <row r="119" spans="16:24" ht="12.75">
      <c r="P119" s="121"/>
      <c r="R119" s="5"/>
      <c r="S119" s="5"/>
      <c r="T119" s="5"/>
      <c r="U119" s="5"/>
      <c r="V119" s="5"/>
      <c r="W119" s="5"/>
      <c r="X119" s="5"/>
    </row>
    <row r="120" spans="16:24" ht="12.75">
      <c r="P120" s="121"/>
      <c r="R120" s="5"/>
      <c r="S120" s="5"/>
      <c r="T120" s="5"/>
      <c r="U120" s="5"/>
      <c r="V120" s="5"/>
      <c r="W120" s="5"/>
      <c r="X120" s="5"/>
    </row>
    <row r="121" ht="12.75">
      <c r="AE121" s="121"/>
    </row>
    <row r="163" ht="12.75"/>
    <row r="164" ht="12.75"/>
    <row r="165" ht="12.75"/>
    <row r="166" ht="12.75"/>
    <row r="167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7:C88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3:AC95"/>
    <mergeCell ref="X5:X6"/>
    <mergeCell ref="Y5:Y6"/>
    <mergeCell ref="Z5:Z6"/>
    <mergeCell ref="AC66:AC68"/>
    <mergeCell ref="AC69:AC73"/>
    <mergeCell ref="AB107:AB108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2017-06-13T10:46:32Z</cp:lastPrinted>
  <dcterms:created xsi:type="dcterms:W3CDTF">2014-01-17T10:52:16Z</dcterms:created>
  <dcterms:modified xsi:type="dcterms:W3CDTF">2017-06-14T12:07:20Z</dcterms:modified>
  <cp:category/>
  <cp:version/>
  <cp:contentType/>
  <cp:contentStatus/>
</cp:coreProperties>
</file>